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8595111e59b94f/Desktop/"/>
    </mc:Choice>
  </mc:AlternateContent>
  <xr:revisionPtr revIDLastSave="0" documentId="8_{58182AF3-A443-4807-B6E7-8404282D8499}" xr6:coauthVersionLast="47" xr6:coauthVersionMax="47" xr10:uidLastSave="{00000000-0000-0000-0000-000000000000}"/>
  <bookViews>
    <workbookView xWindow="30495" yWindow="570" windowWidth="25365" windowHeight="144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J9" i="1" s="1"/>
  <c r="E3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2" i="1"/>
  <c r="D10" i="1"/>
  <c r="D11" i="1"/>
  <c r="D18" i="1"/>
  <c r="D19" i="1"/>
  <c r="D23" i="1"/>
  <c r="D24" i="1"/>
  <c r="D25" i="1"/>
  <c r="D27" i="1"/>
  <c r="D28" i="1"/>
  <c r="D29" i="1"/>
  <c r="D32" i="1"/>
  <c r="C28" i="1"/>
  <c r="C25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B8" i="1"/>
  <c r="C8" i="1"/>
  <c r="A25" i="1"/>
  <c r="A8" i="1"/>
  <c r="H8" i="1"/>
  <c r="M10" i="1"/>
  <c r="M11" i="1" s="1"/>
  <c r="M18" i="1" s="1"/>
  <c r="M19" i="1" s="1"/>
  <c r="R13" i="1"/>
  <c r="M29" i="1"/>
  <c r="J8" i="1" l="1"/>
  <c r="A7" i="1"/>
  <c r="Q3" i="1" s="1"/>
  <c r="N10" i="1"/>
  <c r="H9" i="1"/>
  <c r="M23" i="1"/>
  <c r="M24" i="1" s="1"/>
  <c r="M25" i="1" s="1"/>
  <c r="M28" i="1" s="1"/>
  <c r="H10" i="1" l="1"/>
  <c r="I10" i="1"/>
  <c r="I11" i="1" s="1"/>
  <c r="I12" i="1" s="1"/>
  <c r="I13" i="1" s="1"/>
  <c r="R14" i="1"/>
  <c r="R15" i="1" s="1"/>
  <c r="R16" i="1" s="1"/>
  <c r="I14" i="1" l="1"/>
  <c r="I15" i="1" s="1"/>
  <c r="I16" i="1" s="1"/>
  <c r="I17" i="1" s="1"/>
  <c r="I18" i="1" s="1"/>
  <c r="I19" i="1" s="1"/>
  <c r="I20" i="1" s="1"/>
  <c r="I21" i="1" s="1"/>
  <c r="I22" i="1" s="1"/>
  <c r="R17" i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32" i="1" s="1"/>
  <c r="R34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5" i="1" l="1"/>
  <c r="J10" i="1"/>
  <c r="J11" i="1" l="1"/>
  <c r="J12" i="1" l="1"/>
  <c r="J13" i="1" l="1"/>
  <c r="J14" i="1" l="1"/>
  <c r="J15" i="1" l="1"/>
  <c r="J16" i="1" l="1"/>
  <c r="J17" i="1" l="1"/>
  <c r="J18" i="1" l="1"/>
  <c r="J19" i="1" l="1"/>
  <c r="J20" i="1" l="1"/>
  <c r="J22" i="1" l="1"/>
  <c r="J21" i="1"/>
  <c r="J25" i="1"/>
  <c r="J28" i="1" s="1"/>
  <c r="M27" i="1"/>
  <c r="M32" i="1" s="1"/>
</calcChain>
</file>

<file path=xl/sharedStrings.xml><?xml version="1.0" encoding="utf-8"?>
<sst xmlns="http://schemas.openxmlformats.org/spreadsheetml/2006/main" count="121" uniqueCount="62">
  <si>
    <t>Lease vs. Own Analysis</t>
  </si>
  <si>
    <t>Lease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</si>
  <si>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</si>
  <si>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</si>
  <si>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</si>
  <si>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</si>
  <si>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</si>
  <si>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</si>
  <si>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</si>
  <si>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</si>
  <si>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</si>
  <si>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</si>
  <si>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</si>
  <si>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</si>
  <si>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</si>
  <si>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</si>
  <si>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</si>
  <si>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 </t>
  </si>
  <si>
    <t>Value at end of Lease</t>
  </si>
  <si>
    <t>Annual</t>
  </si>
  <si>
    <t>Rent per Ft.</t>
  </si>
  <si>
    <t>Own</t>
  </si>
  <si>
    <t>Purchase Price</t>
  </si>
  <si>
    <t>Mortgage</t>
  </si>
  <si>
    <t>Taxes</t>
  </si>
  <si>
    <t>Annual Carry per ft.</t>
  </si>
  <si>
    <t>Less Depreciation</t>
  </si>
  <si>
    <t>Effective Reduction</t>
  </si>
  <si>
    <t>Savings per Foot</t>
  </si>
  <si>
    <t>Effective Carry</t>
  </si>
  <si>
    <t>Per Foot</t>
  </si>
  <si>
    <t>Value Schedule</t>
  </si>
  <si>
    <t>Net Equity after 15 years</t>
  </si>
  <si>
    <r>
      <t xml:space="preserve">Shows 14 year average increase in value of </t>
    </r>
    <r>
      <rPr>
        <b/>
        <sz val="11"/>
        <color theme="1"/>
        <rFont val="Calibri"/>
        <family val="2"/>
        <scheme val="minor"/>
      </rPr>
      <t>5.4%</t>
    </r>
  </si>
  <si>
    <r>
      <t>This model assumes</t>
    </r>
    <r>
      <rPr>
        <b/>
        <u/>
        <sz val="11"/>
        <color theme="1"/>
        <rFont val="Calibri"/>
        <family val="2"/>
        <scheme val="minor"/>
      </rPr>
      <t xml:space="preserve"> half </t>
    </r>
    <r>
      <rPr>
        <sz val="11"/>
        <color theme="1"/>
        <rFont val="Calibri"/>
        <family val="2"/>
        <scheme val="minor"/>
      </rPr>
      <t xml:space="preserve">of the actual historical increase- </t>
    </r>
    <r>
      <rPr>
        <b/>
        <sz val="11"/>
        <color theme="1"/>
        <rFont val="Calibri"/>
        <family val="2"/>
        <scheme val="minor"/>
      </rPr>
      <t>2.7%</t>
    </r>
  </si>
  <si>
    <t>Equity after 15 years</t>
  </si>
  <si>
    <t>Building Size (square ft.)</t>
  </si>
  <si>
    <t>Down Payment</t>
  </si>
  <si>
    <t>Insurance</t>
  </si>
  <si>
    <t>Total Rent Paid</t>
  </si>
  <si>
    <t>Annual Carry Total</t>
  </si>
  <si>
    <t>Owner-User Space</t>
  </si>
  <si>
    <t>123 Main Street, Anywhere USA</t>
  </si>
  <si>
    <t>Management Fee</t>
  </si>
  <si>
    <t>Janitorial</t>
  </si>
  <si>
    <t>Other Expenses</t>
  </si>
  <si>
    <t>Average Cost per Foot after tax deduction</t>
  </si>
  <si>
    <t>Additional Tenant Inc.</t>
  </si>
  <si>
    <t xml:space="preserve">  </t>
  </si>
  <si>
    <t>Sale in Yr. 15</t>
  </si>
  <si>
    <t>Mortgage balance yr. 15</t>
  </si>
  <si>
    <t>Based on Moodys and Real Capital Analytics. Historically</t>
  </si>
  <si>
    <t>based on 30% tax bracket</t>
  </si>
  <si>
    <t>Net Depreciation</t>
  </si>
  <si>
    <t>based on 30%</t>
  </si>
  <si>
    <t>tax bracket</t>
  </si>
  <si>
    <t>Additional Tenant Income</t>
  </si>
  <si>
    <t>After Tax Deduction</t>
  </si>
  <si>
    <t>Utilities</t>
  </si>
  <si>
    <t>Annual Increases</t>
  </si>
  <si>
    <t>From Rent Roll</t>
  </si>
  <si>
    <t>Annual Debt Service (25 year amort at 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</si>
</sst>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44" fontId="2" fillId="0" borderId="0" xfId="1" applyFont="1"/>
    <xf numFmtId="0" fontId="4" fillId="0" borderId="0" xfId="0" applyFont="1"/>
    <xf numFmtId="9" fontId="0" fillId="0" borderId="0" xfId="0" applyNumberFormat="1"/>
    <xf numFmtId="9" fontId="2" fillId="0" borderId="0" xfId="0" applyNumberFormat="1" applyFont="1"/>
    <xf numFmtId="165" fontId="2" fillId="0" borderId="0" xfId="2" applyNumberFormat="1" applyFont="1"/>
    <xf numFmtId="164" fontId="5" fillId="0" borderId="0" xfId="1" applyNumberFormat="1" applyFont="1"/>
    <xf numFmtId="164" fontId="6" fillId="0" borderId="0" xfId="1" applyNumberFormat="1" applyFont="1"/>
    <xf numFmtId="44" fontId="6" fillId="0" borderId="0" xfId="1" applyFont="1"/>
    <xf numFmtId="44" fontId="0" fillId="0" borderId="0" xfId="0" applyNumberFormat="1"/>
    <xf numFmtId="166" fontId="0" fillId="0" borderId="0" xfId="1" applyNumberFormat="1" applyFont="1"/>
    <xf numFmtId="166" fontId="6" fillId="0" borderId="0" xfId="1" applyNumberFormat="1" applyFont="1"/>
    <xf numFmtId="166" fontId="0" fillId="0" borderId="0" xfId="0" applyNumberFormat="1"/>
    <xf numFmtId="166" fontId="5" fillId="0" borderId="0" xfId="1" applyNumberFormat="1" applyFont="1"/>
    <xf numFmtId="9" fontId="7" fillId="0" borderId="0" xfId="3" applyFont="1" applyAlignment="1">
      <alignment horizontal="left" inden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6" fillId="0" borderId="0" xfId="0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75">
    <dxf>
      <font>
        <color rgb="FFC00000"/>
      </font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F1" workbookViewId="0">
      <selection activeCell="I8" sqref="I8:J22"/>
    </sheetView>
  </sheetViews>
  <sheetFormatPr defaultRowHeight="15" x14ac:dyDescent="0.25"/>
  <cols>
    <col min="1" max="5" width="3.28515625" style="23" hidden="1" customWidth="1"/>
    <col min="6" max="6" width="2" style="23" customWidth="1"/>
    <col min="7" max="7" width="22.140625" customWidth="1"/>
    <col min="8" max="8" width="12.5703125" bestFit="1" customWidth="1"/>
    <col min="9" max="9" width="12.85546875" customWidth="1"/>
    <col min="10" max="10" width="15.42578125" customWidth="1"/>
    <col min="11" max="11" width="1.85546875" customWidth="1"/>
    <col min="12" max="12" width="38.85546875" bestFit="1" customWidth="1"/>
    <col min="13" max="13" width="12" customWidth="1"/>
    <col min="14" max="14" width="10.85546875" customWidth="1"/>
    <col min="15" max="15" width="12.5703125" bestFit="1" customWidth="1"/>
    <col min="16" max="16" width="0.5703125" customWidth="1"/>
    <col min="18" max="18" width="14.28515625" bestFit="1" customWidth="1"/>
  </cols>
  <sheetData>
    <row r="1" spans="1:20" x14ac:dyDescent="0.25">
      <c r="G1" t="s">
        <v>0</v>
      </c>
    </row>
    <row r="2" spans="1:20" x14ac:dyDescent="0.25">
      <c r="G2" t="s">
        <v>42</v>
      </c>
      <c r="L2" t="s">
        <v>59</v>
      </c>
    </row>
    <row r="3" spans="1:20" x14ac:dyDescent="0.25">
      <c r="G3" t="s">
        <v>36</v>
      </c>
      <c r="H3" s="11">
        <v>13500</v>
      </c>
      <c r="I3" s="3" t="s">
        <v>20</v>
      </c>
      <c r="J3" s="7">
        <v>21</v>
      </c>
      <c r="L3" s="10">
        <v>0.04</v>
      </c>
      <c r="Q3" s="22" t="str">
        <f>IF($A$7=1,"Warning: " &amp; $A$7 &amp; " calculated cell has been overwritten. Clicking undo may help.", IF($A$7 &gt;1, "Warning: " &amp; $A$7  &amp; " calculated cells have been overwritten. Clicking undo may help.",""))</f>
        <v/>
      </c>
      <c r="R3" s="22"/>
      <c r="S3" s="22"/>
      <c r="T3" s="22"/>
    </row>
    <row r="4" spans="1:20" x14ac:dyDescent="0.25">
      <c r="G4" t="s">
        <v>41</v>
      </c>
      <c r="H4" s="11">
        <v>3670</v>
      </c>
      <c r="J4" s="1"/>
      <c r="L4" s="9"/>
      <c r="Q4" s="22"/>
      <c r="R4" s="22"/>
      <c r="S4" s="22"/>
      <c r="T4" s="22"/>
    </row>
    <row r="5" spans="1:20" x14ac:dyDescent="0.25">
      <c r="G5" t="s">
        <v>56</v>
      </c>
      <c r="H5" s="11">
        <v>196260</v>
      </c>
      <c r="I5" s="3" t="s">
        <v>60</v>
      </c>
      <c r="J5" s="1"/>
    </row>
    <row r="6" spans="1:20" x14ac:dyDescent="0.25">
      <c r="G6" s="3" t="s">
        <v>1</v>
      </c>
      <c r="J6" t="s">
        <v>20</v>
      </c>
      <c r="L6" s="3" t="s">
        <v>21</v>
      </c>
      <c r="Q6" s="3" t="s">
        <v>31</v>
      </c>
    </row>
    <row r="7" spans="1:20" x14ac:dyDescent="0.25">
      <c r="A7" s="24">
        <f>SUM(A8:E34)</f>
        <v>0</v>
      </c>
      <c r="H7" t="s">
        <v>19</v>
      </c>
      <c r="I7" t="s">
        <v>20</v>
      </c>
      <c r="J7" t="s">
        <v>57</v>
      </c>
      <c r="Q7" t="s">
        <v>17</v>
      </c>
    </row>
    <row r="8" spans="1:20" x14ac:dyDescent="0.25">
      <c r="A8" s="23">
        <f>IF(_xlfn.ISFORMULA(H8)=TRUE,0,1)</f>
        <v>0</v>
      </c>
      <c r="B8" s="23">
        <f>IF(_xlfn.ISFORMULA(I8)=TRUE,0,1)</f>
        <v>0</v>
      </c>
      <c r="C8" s="23">
        <f>IF(_xlfn.ISFORMULA(J8)=TRUE,0,1)</f>
        <v>0</v>
      </c>
      <c r="G8" t="s">
        <v>2</v>
      </c>
      <c r="H8" s="17">
        <f>(H4*J3)</f>
        <v>77070</v>
      </c>
      <c r="I8" s="25">
        <f>(H8/H4)</f>
        <v>21</v>
      </c>
      <c r="J8" s="25">
        <f>(I8*0.7)</f>
        <v>14.7</v>
      </c>
      <c r="L8" t="s">
        <v>22</v>
      </c>
      <c r="M8" s="16">
        <v>1700000</v>
      </c>
      <c r="Q8" t="s">
        <v>17</v>
      </c>
    </row>
    <row r="9" spans="1:20" x14ac:dyDescent="0.25">
      <c r="A9" s="23">
        <f t="shared" ref="A9:A22" si="0">IF(_xlfn.ISFORMULA(H9)=TRUE,0,1)</f>
        <v>0</v>
      </c>
      <c r="B9" s="23">
        <f t="shared" ref="B9:B22" si="1">IF(_xlfn.ISFORMULA(I9)=TRUE,0,1)</f>
        <v>0</v>
      </c>
      <c r="C9" s="23">
        <f t="shared" ref="C9:C22" si="2">IF(_xlfn.ISFORMULA(J9)=TRUE,0,1)</f>
        <v>0</v>
      </c>
      <c r="G9" t="s">
        <v>3</v>
      </c>
      <c r="H9" s="17">
        <f>(H8*1.04)</f>
        <v>80152.800000000003</v>
      </c>
      <c r="I9" s="25">
        <f>(I8*1.04)</f>
        <v>21.84</v>
      </c>
      <c r="J9" s="25">
        <f t="shared" ref="J9:J22" si="3">(I9*0.7)</f>
        <v>15.287999999999998</v>
      </c>
      <c r="L9" t="s">
        <v>37</v>
      </c>
      <c r="M9" s="16">
        <v>900000</v>
      </c>
      <c r="Q9" t="s">
        <v>51</v>
      </c>
    </row>
    <row r="10" spans="1:20" x14ac:dyDescent="0.25">
      <c r="A10" s="23">
        <f t="shared" si="0"/>
        <v>0</v>
      </c>
      <c r="B10" s="23">
        <f t="shared" si="1"/>
        <v>0</v>
      </c>
      <c r="C10" s="23">
        <f t="shared" si="2"/>
        <v>0</v>
      </c>
      <c r="D10" s="23">
        <f>IF(_xlfn.ISFORMULA(M10)=TRUE,0,1)</f>
        <v>0</v>
      </c>
      <c r="G10" t="s">
        <v>4</v>
      </c>
      <c r="H10" s="17">
        <f t="shared" ref="H10:H22" si="4">(H9*1.04)</f>
        <v>83358.912000000011</v>
      </c>
      <c r="I10" s="25">
        <f>(I9*1.04)</f>
        <v>22.7136</v>
      </c>
      <c r="J10" s="25">
        <f t="shared" si="3"/>
        <v>15.899519999999999</v>
      </c>
      <c r="L10" t="s">
        <v>23</v>
      </c>
      <c r="M10" s="17">
        <f>(M8-M9)</f>
        <v>800000</v>
      </c>
      <c r="N10" s="20" t="str">
        <f>TEXT(M10/M8,"#.0%") &amp; " LTV"</f>
        <v>47.1% LTV</v>
      </c>
      <c r="Q10" t="s">
        <v>33</v>
      </c>
    </row>
    <row r="11" spans="1:20" x14ac:dyDescent="0.25">
      <c r="A11" s="23">
        <f t="shared" si="0"/>
        <v>0</v>
      </c>
      <c r="B11" s="23">
        <f t="shared" si="1"/>
        <v>0</v>
      </c>
      <c r="C11" s="23">
        <f t="shared" si="2"/>
        <v>0</v>
      </c>
      <c r="D11" s="23">
        <f>IF(_xlfn.ISFORMULA(M11)=TRUE,0,1)</f>
        <v>0</v>
      </c>
      <c r="G11" t="s">
        <v>5</v>
      </c>
      <c r="H11" s="17">
        <f t="shared" si="4"/>
        <v>86693.268480000013</v>
      </c>
      <c r="I11" s="25">
        <f t="shared" ref="I11:I22" si="5">(I10*1.04)</f>
        <v>23.622143999999999</v>
      </c>
      <c r="J11" s="25">
        <f t="shared" si="3"/>
        <v>16.535500799999998</v>
      </c>
      <c r="L11" t="s">
        <v>61</v>
      </c>
      <c r="M11" s="16">
        <f>-PMT(6%/12,300,M10)*12</f>
        <v>61852.934542608826</v>
      </c>
      <c r="Q11" t="s">
        <v>34</v>
      </c>
    </row>
    <row r="12" spans="1:20" x14ac:dyDescent="0.25">
      <c r="A12" s="23">
        <f t="shared" si="0"/>
        <v>0</v>
      </c>
      <c r="B12" s="23">
        <f t="shared" si="1"/>
        <v>0</v>
      </c>
      <c r="C12" s="23">
        <f t="shared" si="2"/>
        <v>0</v>
      </c>
      <c r="G12" t="s">
        <v>6</v>
      </c>
      <c r="H12" s="17">
        <f t="shared" si="4"/>
        <v>90160.999219200021</v>
      </c>
      <c r="I12" s="25">
        <f t="shared" si="5"/>
        <v>24.56702976</v>
      </c>
      <c r="J12" s="25">
        <f t="shared" si="3"/>
        <v>17.196920832</v>
      </c>
      <c r="L12" t="s">
        <v>58</v>
      </c>
      <c r="M12" s="16">
        <v>42000</v>
      </c>
    </row>
    <row r="13" spans="1:20" x14ac:dyDescent="0.25">
      <c r="A13" s="23">
        <f t="shared" si="0"/>
        <v>0</v>
      </c>
      <c r="B13" s="23">
        <f t="shared" si="1"/>
        <v>0</v>
      </c>
      <c r="C13" s="23">
        <f t="shared" si="2"/>
        <v>0</v>
      </c>
      <c r="E13" s="23">
        <f>IF(_xlfn.ISFORMULA(R13)=TRUE,0,1)</f>
        <v>0</v>
      </c>
      <c r="G13" t="s">
        <v>7</v>
      </c>
      <c r="H13" s="17">
        <f t="shared" si="4"/>
        <v>93767.439187968019</v>
      </c>
      <c r="I13" s="25">
        <f t="shared" si="5"/>
        <v>25.549710950400002</v>
      </c>
      <c r="J13" s="25">
        <f t="shared" si="3"/>
        <v>17.884797665280001</v>
      </c>
      <c r="L13" t="s">
        <v>24</v>
      </c>
      <c r="M13" s="16">
        <v>70923</v>
      </c>
      <c r="Q13" t="s">
        <v>2</v>
      </c>
      <c r="R13" s="17">
        <f>(M8)</f>
        <v>1700000</v>
      </c>
      <c r="S13" s="2"/>
    </row>
    <row r="14" spans="1:20" x14ac:dyDescent="0.25">
      <c r="A14" s="23">
        <f t="shared" si="0"/>
        <v>0</v>
      </c>
      <c r="B14" s="23">
        <f t="shared" si="1"/>
        <v>0</v>
      </c>
      <c r="C14" s="23">
        <f t="shared" si="2"/>
        <v>0</v>
      </c>
      <c r="E14" s="23">
        <f>IF(_xlfn.ISFORMULA(R14)=TRUE,0,1)</f>
        <v>0</v>
      </c>
      <c r="G14" t="s">
        <v>8</v>
      </c>
      <c r="H14" s="17">
        <f t="shared" si="4"/>
        <v>97518.136755486747</v>
      </c>
      <c r="I14" s="25">
        <f t="shared" si="5"/>
        <v>26.571699388416004</v>
      </c>
      <c r="J14" s="25">
        <f t="shared" si="3"/>
        <v>18.600189571891203</v>
      </c>
      <c r="L14" t="s">
        <v>38</v>
      </c>
      <c r="M14" s="16">
        <v>6243</v>
      </c>
      <c r="Q14" t="s">
        <v>3</v>
      </c>
      <c r="R14" s="17">
        <f>(R13+R13*2.7%)</f>
        <v>1745900</v>
      </c>
      <c r="S14" s="2"/>
    </row>
    <row r="15" spans="1:20" x14ac:dyDescent="0.25">
      <c r="A15" s="23">
        <f t="shared" si="0"/>
        <v>0</v>
      </c>
      <c r="B15" s="23">
        <f t="shared" si="1"/>
        <v>0</v>
      </c>
      <c r="C15" s="23">
        <f t="shared" si="2"/>
        <v>0</v>
      </c>
      <c r="E15" s="23">
        <f>IF(_xlfn.ISFORMULA(R15)=TRUE,0,1)</f>
        <v>0</v>
      </c>
      <c r="G15" t="s">
        <v>9</v>
      </c>
      <c r="H15" s="17">
        <f t="shared" si="4"/>
        <v>101418.86222570622</v>
      </c>
      <c r="I15" s="25">
        <f t="shared" si="5"/>
        <v>27.634567363952645</v>
      </c>
      <c r="J15" s="25">
        <f t="shared" si="3"/>
        <v>19.344197154766849</v>
      </c>
      <c r="L15" t="s">
        <v>43</v>
      </c>
      <c r="M15" s="18">
        <v>14274</v>
      </c>
      <c r="Q15" t="s">
        <v>4</v>
      </c>
      <c r="R15" s="17">
        <f t="shared" ref="R15:R27" si="6">(R14+R14*2.7%)</f>
        <v>1793039.3</v>
      </c>
      <c r="S15" s="2" t="s">
        <v>17</v>
      </c>
    </row>
    <row r="16" spans="1:20" x14ac:dyDescent="0.25">
      <c r="A16" s="23">
        <f t="shared" si="0"/>
        <v>0</v>
      </c>
      <c r="B16" s="23">
        <f t="shared" si="1"/>
        <v>0</v>
      </c>
      <c r="C16" s="23">
        <f t="shared" si="2"/>
        <v>0</v>
      </c>
      <c r="E16" s="23">
        <f>IF(_xlfn.ISFORMULA(R16)=TRUE,0,1)</f>
        <v>0</v>
      </c>
      <c r="G16" t="s">
        <v>10</v>
      </c>
      <c r="H16" s="17">
        <f t="shared" si="4"/>
        <v>105475.61671473448</v>
      </c>
      <c r="I16" s="25">
        <f t="shared" si="5"/>
        <v>28.73995005851075</v>
      </c>
      <c r="J16" s="25">
        <f t="shared" si="3"/>
        <v>20.117965040957525</v>
      </c>
      <c r="L16" t="s">
        <v>44</v>
      </c>
      <c r="M16" s="18">
        <v>15460</v>
      </c>
      <c r="Q16" t="s">
        <v>5</v>
      </c>
      <c r="R16" s="17">
        <f t="shared" si="6"/>
        <v>1841451.3611000001</v>
      </c>
      <c r="S16" s="2" t="s">
        <v>17</v>
      </c>
    </row>
    <row r="17" spans="1:19" x14ac:dyDescent="0.25">
      <c r="A17" s="23">
        <f t="shared" si="0"/>
        <v>0</v>
      </c>
      <c r="B17" s="23">
        <f t="shared" si="1"/>
        <v>0</v>
      </c>
      <c r="C17" s="23">
        <f t="shared" si="2"/>
        <v>0</v>
      </c>
      <c r="E17" s="23">
        <f>IF(_xlfn.ISFORMULA(R17)=TRUE,0,1)</f>
        <v>0</v>
      </c>
      <c r="G17" t="s">
        <v>11</v>
      </c>
      <c r="H17" s="17">
        <f t="shared" si="4"/>
        <v>109694.64138332386</v>
      </c>
      <c r="I17" s="25">
        <f t="shared" si="5"/>
        <v>29.88954806085118</v>
      </c>
      <c r="J17" s="25">
        <f t="shared" si="3"/>
        <v>20.922683642595825</v>
      </c>
      <c r="L17" t="s">
        <v>45</v>
      </c>
      <c r="M17" s="18">
        <v>10000</v>
      </c>
      <c r="N17" t="s">
        <v>17</v>
      </c>
      <c r="Q17" t="s">
        <v>6</v>
      </c>
      <c r="R17" s="17">
        <f t="shared" si="6"/>
        <v>1891170.5478497001</v>
      </c>
      <c r="S17" s="2" t="s">
        <v>17</v>
      </c>
    </row>
    <row r="18" spans="1:19" x14ac:dyDescent="0.25">
      <c r="A18" s="23">
        <f t="shared" si="0"/>
        <v>0</v>
      </c>
      <c r="B18" s="23">
        <f t="shared" si="1"/>
        <v>0</v>
      </c>
      <c r="C18" s="23">
        <f t="shared" si="2"/>
        <v>0</v>
      </c>
      <c r="D18" s="23">
        <f>IF(_xlfn.ISFORMULA(M18)=TRUE,0,1)</f>
        <v>0</v>
      </c>
      <c r="E18" s="23">
        <f>IF(_xlfn.ISFORMULA(R18)=TRUE,0,1)</f>
        <v>0</v>
      </c>
      <c r="G18" t="s">
        <v>12</v>
      </c>
      <c r="H18" s="17">
        <f t="shared" si="4"/>
        <v>114082.42703865682</v>
      </c>
      <c r="I18" s="25">
        <f t="shared" si="5"/>
        <v>31.085129983285228</v>
      </c>
      <c r="J18" s="25">
        <f t="shared" si="3"/>
        <v>21.759590988299657</v>
      </c>
      <c r="L18" t="s">
        <v>40</v>
      </c>
      <c r="M18" s="17">
        <f>SUM(M11:M17)</f>
        <v>220752.93454260883</v>
      </c>
      <c r="Q18" t="s">
        <v>7</v>
      </c>
      <c r="R18" s="17">
        <f t="shared" si="6"/>
        <v>1942232.1526416419</v>
      </c>
      <c r="S18" s="2" t="s">
        <v>17</v>
      </c>
    </row>
    <row r="19" spans="1:19" x14ac:dyDescent="0.25">
      <c r="A19" s="23">
        <f t="shared" si="0"/>
        <v>0</v>
      </c>
      <c r="B19" s="23">
        <f t="shared" si="1"/>
        <v>0</v>
      </c>
      <c r="C19" s="23">
        <f t="shared" si="2"/>
        <v>0</v>
      </c>
      <c r="D19" s="23">
        <f>IF(_xlfn.ISFORMULA(M19)=TRUE,0,1)</f>
        <v>0</v>
      </c>
      <c r="E19" s="23">
        <f>IF(_xlfn.ISFORMULA(R19)=TRUE,0,1)</f>
        <v>0</v>
      </c>
      <c r="G19" t="s">
        <v>13</v>
      </c>
      <c r="H19" s="17">
        <f t="shared" si="4"/>
        <v>118645.7241202031</v>
      </c>
      <c r="I19" s="25">
        <f t="shared" si="5"/>
        <v>32.32853518261664</v>
      </c>
      <c r="J19" s="25">
        <f t="shared" si="3"/>
        <v>22.629974627831647</v>
      </c>
      <c r="L19" t="s">
        <v>25</v>
      </c>
      <c r="M19" s="17">
        <f>(M18/H3)</f>
        <v>16.352069225378433</v>
      </c>
      <c r="Q19" t="s">
        <v>8</v>
      </c>
      <c r="R19" s="17">
        <f t="shared" si="6"/>
        <v>1994672.4207629662</v>
      </c>
      <c r="S19" s="2" t="s">
        <v>17</v>
      </c>
    </row>
    <row r="20" spans="1:19" x14ac:dyDescent="0.25">
      <c r="A20" s="23">
        <f t="shared" si="0"/>
        <v>0</v>
      </c>
      <c r="B20" s="23">
        <f t="shared" si="1"/>
        <v>0</v>
      </c>
      <c r="C20" s="23">
        <f t="shared" si="2"/>
        <v>0</v>
      </c>
      <c r="E20" s="23">
        <f>IF(_xlfn.ISFORMULA(R20)=TRUE,0,1)</f>
        <v>0</v>
      </c>
      <c r="G20" t="s">
        <v>14</v>
      </c>
      <c r="H20" s="17">
        <f t="shared" si="4"/>
        <v>123391.55308501123</v>
      </c>
      <c r="I20" s="25">
        <f t="shared" si="5"/>
        <v>33.621676589921307</v>
      </c>
      <c r="J20" s="25">
        <f t="shared" si="3"/>
        <v>23.535173612944913</v>
      </c>
      <c r="L20" t="s">
        <v>17</v>
      </c>
      <c r="M20" s="16" t="s">
        <v>17</v>
      </c>
      <c r="N20" t="s">
        <v>17</v>
      </c>
      <c r="Q20" t="s">
        <v>9</v>
      </c>
      <c r="R20" s="17">
        <f t="shared" si="6"/>
        <v>2048528.5761235661</v>
      </c>
      <c r="S20" s="2" t="s">
        <v>17</v>
      </c>
    </row>
    <row r="21" spans="1:19" x14ac:dyDescent="0.25">
      <c r="A21" s="23">
        <f t="shared" si="0"/>
        <v>0</v>
      </c>
      <c r="B21" s="23">
        <f t="shared" si="1"/>
        <v>0</v>
      </c>
      <c r="C21" s="23">
        <f t="shared" si="2"/>
        <v>0</v>
      </c>
      <c r="E21" s="23">
        <f>IF(_xlfn.ISFORMULA(R21)=TRUE,0,1)</f>
        <v>0</v>
      </c>
      <c r="G21" t="s">
        <v>15</v>
      </c>
      <c r="H21" s="17">
        <f t="shared" si="4"/>
        <v>128327.21520841168</v>
      </c>
      <c r="I21" s="25">
        <f t="shared" si="5"/>
        <v>34.966543653518158</v>
      </c>
      <c r="J21" s="25">
        <f t="shared" si="3"/>
        <v>24.476580557462711</v>
      </c>
      <c r="L21" t="s">
        <v>17</v>
      </c>
      <c r="M21" s="18"/>
      <c r="N21" t="s">
        <v>17</v>
      </c>
      <c r="Q21" t="s">
        <v>10</v>
      </c>
      <c r="R21" s="17">
        <f t="shared" si="6"/>
        <v>2103838.8476789026</v>
      </c>
      <c r="S21" s="2" t="s">
        <v>17</v>
      </c>
    </row>
    <row r="22" spans="1:19" x14ac:dyDescent="0.25">
      <c r="A22" s="23">
        <f t="shared" si="0"/>
        <v>0</v>
      </c>
      <c r="B22" s="23">
        <f t="shared" si="1"/>
        <v>0</v>
      </c>
      <c r="C22" s="23">
        <f t="shared" si="2"/>
        <v>0</v>
      </c>
      <c r="E22" s="23">
        <f>IF(_xlfn.ISFORMULA(R22)=TRUE,0,1)</f>
        <v>0</v>
      </c>
      <c r="G22" t="s">
        <v>16</v>
      </c>
      <c r="H22" s="17">
        <f t="shared" si="4"/>
        <v>133460.30381674814</v>
      </c>
      <c r="I22" s="25">
        <f t="shared" si="5"/>
        <v>36.365205399658883</v>
      </c>
      <c r="J22" s="25">
        <f t="shared" si="3"/>
        <v>25.455643779761218</v>
      </c>
      <c r="M22" s="18"/>
      <c r="N22" t="s">
        <v>17</v>
      </c>
      <c r="Q22" t="s">
        <v>11</v>
      </c>
      <c r="R22" s="17">
        <f t="shared" si="6"/>
        <v>2160642.4965662328</v>
      </c>
      <c r="S22" s="2" t="s">
        <v>17</v>
      </c>
    </row>
    <row r="23" spans="1:19" x14ac:dyDescent="0.25">
      <c r="D23" s="23">
        <f>IF(_xlfn.ISFORMULA(M23)=TRUE,0,1)</f>
        <v>0</v>
      </c>
      <c r="E23" s="23">
        <f>IF(_xlfn.ISFORMULA(R23)=TRUE,0,1)</f>
        <v>0</v>
      </c>
      <c r="G23" t="s">
        <v>17</v>
      </c>
      <c r="H23" s="16"/>
      <c r="L23" t="s">
        <v>26</v>
      </c>
      <c r="M23" s="17">
        <f>(M8*0.8/39)</f>
        <v>34871.794871794875</v>
      </c>
      <c r="Q23" t="s">
        <v>12</v>
      </c>
      <c r="R23" s="17">
        <f t="shared" si="6"/>
        <v>2218979.8439735211</v>
      </c>
      <c r="S23" s="2" t="s">
        <v>17</v>
      </c>
    </row>
    <row r="24" spans="1:19" x14ac:dyDescent="0.25">
      <c r="D24" s="23">
        <f>IF(_xlfn.ISFORMULA(M24)=TRUE,0,1)</f>
        <v>0</v>
      </c>
      <c r="E24" s="23">
        <f>IF(_xlfn.ISFORMULA(R24)=TRUE,0,1)</f>
        <v>0</v>
      </c>
      <c r="G24" t="s">
        <v>17</v>
      </c>
      <c r="H24" s="16"/>
      <c r="L24" t="s">
        <v>27</v>
      </c>
      <c r="M24" s="17">
        <f>M23*0.7</f>
        <v>24410.25641025641</v>
      </c>
      <c r="N24" s="21" t="s">
        <v>54</v>
      </c>
      <c r="Q24" t="s">
        <v>13</v>
      </c>
      <c r="R24" s="17">
        <f t="shared" si="6"/>
        <v>2278892.2997608064</v>
      </c>
      <c r="S24" s="2" t="s">
        <v>17</v>
      </c>
    </row>
    <row r="25" spans="1:19" x14ac:dyDescent="0.25">
      <c r="A25" s="23">
        <f t="shared" ref="A25:C25" si="7">IF(_xlfn.ISFORMULA(H25)=TRUE,0,1)</f>
        <v>0</v>
      </c>
      <c r="C25" s="23">
        <f t="shared" si="7"/>
        <v>0</v>
      </c>
      <c r="D25" s="23">
        <f>IF(_xlfn.ISFORMULA(M25)=TRUE,0,1)</f>
        <v>0</v>
      </c>
      <c r="E25" s="23">
        <f>IF(_xlfn.ISFORMULA(R25)=TRUE,0,1)</f>
        <v>0</v>
      </c>
      <c r="G25" t="s">
        <v>39</v>
      </c>
      <c r="H25" s="19">
        <f>SUM(H8:H24)</f>
        <v>1543217.8992354502</v>
      </c>
      <c r="I25" s="3"/>
      <c r="J25" s="19">
        <f>(H25*0.7)</f>
        <v>1080252.529464815</v>
      </c>
      <c r="K25" t="s">
        <v>17</v>
      </c>
      <c r="L25" t="s">
        <v>28</v>
      </c>
      <c r="M25" s="17">
        <f>(M24/H3)</f>
        <v>1.8081671415004748</v>
      </c>
      <c r="N25" s="21" t="s">
        <v>55</v>
      </c>
      <c r="Q25" t="s">
        <v>14</v>
      </c>
      <c r="R25" s="17">
        <f t="shared" si="6"/>
        <v>2340422.3918543481</v>
      </c>
      <c r="S25" s="2" t="s">
        <v>17</v>
      </c>
    </row>
    <row r="26" spans="1:19" x14ac:dyDescent="0.25">
      <c r="E26" s="23">
        <f>IF(_xlfn.ISFORMULA(R26)=TRUE,0,1)</f>
        <v>0</v>
      </c>
      <c r="G26" t="s">
        <v>17</v>
      </c>
      <c r="H26" s="2"/>
      <c r="J26" s="18"/>
      <c r="K26" t="s">
        <v>17</v>
      </c>
      <c r="M26" s="18"/>
      <c r="N26" s="21" t="s">
        <v>17</v>
      </c>
      <c r="Q26" t="s">
        <v>15</v>
      </c>
      <c r="R26" s="17">
        <f t="shared" si="6"/>
        <v>2403613.7964344155</v>
      </c>
      <c r="S26" s="2" t="s">
        <v>17</v>
      </c>
    </row>
    <row r="27" spans="1:19" x14ac:dyDescent="0.25">
      <c r="D27" s="23">
        <f>IF(_xlfn.ISFORMULA(M27)=TRUE,0,1)</f>
        <v>0</v>
      </c>
      <c r="E27" s="23">
        <f>IF(_xlfn.ISFORMULA(R27)=TRUE,0,1)</f>
        <v>0</v>
      </c>
      <c r="G27" t="s">
        <v>17</v>
      </c>
      <c r="H27" s="2"/>
      <c r="J27" s="18"/>
      <c r="L27" t="s">
        <v>17</v>
      </c>
      <c r="M27" s="17">
        <f>(M19)</f>
        <v>16.352069225378433</v>
      </c>
      <c r="Q27" t="s">
        <v>16</v>
      </c>
      <c r="R27" s="17">
        <f t="shared" si="6"/>
        <v>2468511.3689381448</v>
      </c>
      <c r="S27" s="2" t="s">
        <v>17</v>
      </c>
    </row>
    <row r="28" spans="1:19" x14ac:dyDescent="0.25">
      <c r="C28" s="23">
        <f t="shared" ref="C28" si="8">IF(_xlfn.ISFORMULA(J28)=TRUE,0,1)</f>
        <v>0</v>
      </c>
      <c r="D28" s="23">
        <f>IF(_xlfn.ISFORMULA(M28)=TRUE,0,1)</f>
        <v>0</v>
      </c>
      <c r="G28" t="s">
        <v>46</v>
      </c>
      <c r="I28" s="4"/>
      <c r="J28" s="17">
        <f>(J25/15/H4)</f>
        <v>19.623115884919439</v>
      </c>
      <c r="L28" t="s">
        <v>53</v>
      </c>
      <c r="M28" s="17">
        <f>(M25)</f>
        <v>1.8081671415004748</v>
      </c>
      <c r="R28" s="18"/>
    </row>
    <row r="29" spans="1:19" x14ac:dyDescent="0.25">
      <c r="D29" s="23">
        <f>IF(_xlfn.ISFORMULA(M29)=TRUE,0,1)</f>
        <v>0</v>
      </c>
      <c r="G29" t="s">
        <v>52</v>
      </c>
      <c r="J29" s="18"/>
      <c r="L29" t="s">
        <v>47</v>
      </c>
      <c r="M29" s="17">
        <f>(H5/H3)</f>
        <v>14.537777777777778</v>
      </c>
    </row>
    <row r="30" spans="1:19" x14ac:dyDescent="0.25">
      <c r="G30" t="s">
        <v>17</v>
      </c>
      <c r="M30" s="1"/>
    </row>
    <row r="31" spans="1:19" x14ac:dyDescent="0.25">
      <c r="G31" t="s">
        <v>18</v>
      </c>
      <c r="H31">
        <v>0</v>
      </c>
      <c r="L31" t="s">
        <v>29</v>
      </c>
      <c r="M31" s="15"/>
    </row>
    <row r="32" spans="1:19" x14ac:dyDescent="0.25">
      <c r="D32" s="23">
        <f>IF(_xlfn.ISFORMULA(M32)=TRUE,0,1)</f>
        <v>0</v>
      </c>
      <c r="E32" s="23">
        <f>IF(_xlfn.ISFORMULA(R32)=TRUE,0,1)</f>
        <v>0</v>
      </c>
      <c r="G32" s="3" t="s">
        <v>35</v>
      </c>
      <c r="H32" s="3">
        <v>0</v>
      </c>
      <c r="L32" t="s">
        <v>30</v>
      </c>
      <c r="M32" s="14">
        <f>(M27-M28-M29)</f>
        <v>6.1243061001796661E-3</v>
      </c>
      <c r="O32" t="s">
        <v>49</v>
      </c>
      <c r="R32" s="13">
        <f>(R27)</f>
        <v>2468511.3689381448</v>
      </c>
    </row>
    <row r="33" spans="5:18" x14ac:dyDescent="0.25">
      <c r="G33" t="s">
        <v>17</v>
      </c>
      <c r="O33" t="s">
        <v>50</v>
      </c>
      <c r="R33" s="2">
        <v>464275</v>
      </c>
    </row>
    <row r="34" spans="5:18" x14ac:dyDescent="0.25">
      <c r="E34" s="23">
        <f>IF(_xlfn.ISFORMULA(R34)=TRUE,0,1)</f>
        <v>0</v>
      </c>
      <c r="G34" t="s">
        <v>17</v>
      </c>
      <c r="I34" s="4" t="s">
        <v>17</v>
      </c>
      <c r="O34" s="3" t="s">
        <v>32</v>
      </c>
      <c r="R34" s="12">
        <f>(R32-R33)</f>
        <v>2004236.3689381448</v>
      </c>
    </row>
    <row r="35" spans="5:18" x14ac:dyDescent="0.25">
      <c r="G35" t="s">
        <v>17</v>
      </c>
      <c r="O35" s="5" t="s">
        <v>17</v>
      </c>
    </row>
    <row r="36" spans="5:18" x14ac:dyDescent="0.25">
      <c r="G36" t="s">
        <v>17</v>
      </c>
      <c r="I36" s="8"/>
      <c r="O36" s="2" t="s">
        <v>48</v>
      </c>
    </row>
    <row r="37" spans="5:18" x14ac:dyDescent="0.25">
      <c r="G37" s="3" t="s">
        <v>17</v>
      </c>
      <c r="I37" t="s">
        <v>17</v>
      </c>
      <c r="O37" s="6" t="s">
        <v>17</v>
      </c>
    </row>
    <row r="38" spans="5:18" x14ac:dyDescent="0.25">
      <c r="L38" t="s">
        <v>17</v>
      </c>
    </row>
    <row r="39" spans="5:18" x14ac:dyDescent="0.25">
      <c r="L39" t="s">
        <v>17</v>
      </c>
    </row>
    <row r="40" spans="5:18" x14ac:dyDescent="0.25">
      <c r="L40" s="3" t="s">
        <v>17</v>
      </c>
    </row>
  </sheetData>
  <mergeCells count="1">
    <mergeCell ref="Q3:T4"/>
  </mergeCells>
  <conditionalFormatting sqref="H25">
    <cfRule type="expression" dxfId="29" priority="17">
      <formula>_xlfn.ISFORMULA(H25:I39)=FALSE</formula>
    </cfRule>
  </conditionalFormatting>
  <conditionalFormatting sqref="H8:I22">
    <cfRule type="expression" dxfId="28" priority="18">
      <formula>_xlfn.ISFORMULA(H8:I22)=FALSE</formula>
    </cfRule>
  </conditionalFormatting>
  <conditionalFormatting sqref="J25">
    <cfRule type="expression" dxfId="27" priority="16">
      <formula>_xlfn.ISFORMULA(J25:K39)=FALSE</formula>
    </cfRule>
  </conditionalFormatting>
  <conditionalFormatting sqref="J28">
    <cfRule type="expression" dxfId="26" priority="15">
      <formula>_xlfn.ISFORMULA(J28:K42)=FALSE</formula>
    </cfRule>
  </conditionalFormatting>
  <conditionalFormatting sqref="M10">
    <cfRule type="expression" dxfId="25" priority="8">
      <formula>_xlfn.ISFORMULA(M10:N24)=FALSE</formula>
    </cfRule>
  </conditionalFormatting>
  <conditionalFormatting sqref="M18:M19">
    <cfRule type="expression" dxfId="24" priority="9">
      <formula>_xlfn.ISFORMULA(M18:N32)=FALSE</formula>
    </cfRule>
  </conditionalFormatting>
  <conditionalFormatting sqref="M23:M25">
    <cfRule type="expression" dxfId="23" priority="12">
      <formula>_xlfn.ISFORMULA(M23:N37)=FALSE</formula>
    </cfRule>
  </conditionalFormatting>
  <conditionalFormatting sqref="M27:M29">
    <cfRule type="expression" dxfId="22" priority="11">
      <formula>_xlfn.ISFORMULA(M27:N41)=FALSE</formula>
    </cfRule>
  </conditionalFormatting>
  <conditionalFormatting sqref="M32">
    <cfRule type="expression" dxfId="21" priority="10">
      <formula>_xlfn.ISFORMULA(M32:N46)=FALSE</formula>
    </cfRule>
  </conditionalFormatting>
  <conditionalFormatting sqref="R13:R27">
    <cfRule type="expression" dxfId="20" priority="7">
      <formula>_xlfn.ISFORMULA(R13:S27)=FALSE</formula>
    </cfRule>
  </conditionalFormatting>
  <conditionalFormatting sqref="R32">
    <cfRule type="expression" dxfId="19" priority="5">
      <formula>_xlfn.ISFORMULA(R32:S46)=FALSE</formula>
    </cfRule>
  </conditionalFormatting>
  <conditionalFormatting sqref="R34">
    <cfRule type="expression" dxfId="18" priority="6">
      <formula>_xlfn.ISFORMULA(R34:S48)=FALSE</formula>
    </cfRule>
  </conditionalFormatting>
  <conditionalFormatting sqref="Q3">
    <cfRule type="expression" dxfId="17" priority="3">
      <formula>SUM($G$13:$G$38)&gt;0</formula>
    </cfRule>
    <cfRule type="notContainsBlanks" dxfId="16" priority="19">
      <formula>LEN(TRIM(Q3))&gt;0</formula>
    </cfRule>
  </conditionalFormatting>
  <conditionalFormatting sqref="J8:J22">
    <cfRule type="expression" dxfId="0" priority="1">
      <formula>_xlfn.ISFORMULA(J8:K22)=FALSE</formula>
    </cfRule>
  </conditionalFormatting>
  <pageMargins left="0.25" right="0.25" top="0.75" bottom="0.75" header="0.3" footer="0.3"/>
  <pageSetup scale="7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ron epstein</cp:lastModifiedBy>
  <cp:lastPrinted>2024-03-07T10:24:00Z</cp:lastPrinted>
  <dcterms:created xsi:type="dcterms:W3CDTF">2016-01-17T15:30:19Z</dcterms:created>
  <dcterms:modified xsi:type="dcterms:W3CDTF">2024-05-10T14:32:23Z</dcterms:modified>
</cp:coreProperties>
</file>